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8" r:id="rId3"/>
    <pivotCache cacheId="7" r:id="rId4"/>
    <pivotCache cacheId="9" r:id="rId5"/>
  </pivotCaches>
</workbook>
</file>

<file path=xl/sharedStrings.xml><?xml version="1.0" encoding="utf-8"?>
<sst xmlns="http://schemas.openxmlformats.org/spreadsheetml/2006/main" count="256" uniqueCount="56">
  <si>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</si>
  <si>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</si>
  <si>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</si>
  <si>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</si>
  <si>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</si>
  <si>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</si>
  <si>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</si>
  <si>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</si>
  <si>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</si>
  <si>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</si>
  <si>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</si>
  <si>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</si>
  <si>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</si>
  <si>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</si>
  <si>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</si>
  <si>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</si>
  <si>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</si>
  <si>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</si>
  <si>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</si>
  <si>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</si>
  <si>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</si>
  <si>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</si>
  <si>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</si>
  <si>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</si>
  <si>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</si>
  <si>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</si>
  <si>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</si>
  <si>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</si>
  <si>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</si>
  <si>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</si>
  <si>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</si>
  <si>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</si>
  <si>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</si>
  <si>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</si>
  <si>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</si>
  <si>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</si>
  <si>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</si>
  <si>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</si>
  <si>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</si>
  <si>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</si>
  <si>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</si>
  <si>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</si>
  <si>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</si>
  <si>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</si>
  <si>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</si>
  <si>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</si>
  <si>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</si>
  <si>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</si>
  <si>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</si>
  <si>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</si>
  <si>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</si>
  <si>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</si>
  <si>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</si>
  <si>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</si>
  <si>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BANISTMO COLOMBIA S.A.</t>
  </si>
  <si>
    <t># CNBS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</si>
</sst>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 * #,##0.000_ ;_ * \-#,##0.000_ ;_ * &quot;-&quot;??_ ;_ @_ "/>
  </numFmts>
  <fonts count="16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2"/>
      <name val="Arial"/>
      <family val="0"/>
    </font>
    <font>
      <b/>
      <sz val="18.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22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2" borderId="14" xfId="0" applyFill="1" applyBorder="1" applyAlignment="1">
      <alignment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horizontal="left" indent="1"/>
      <protection/>
    </xf>
    <xf numFmtId="0" fontId="13" fillId="2" borderId="22" xfId="21" applyFont="1" applyFill="1" applyBorder="1" applyAlignment="1">
      <alignment horizontal="center"/>
      <protection/>
    </xf>
    <xf numFmtId="172" fontId="13" fillId="0" borderId="22" xfId="23" applyNumberFormat="1" applyFont="1" applyBorder="1" applyAlignment="1">
      <alignment/>
    </xf>
    <xf numFmtId="0" fontId="13" fillId="2" borderId="23" xfId="21" applyFont="1" applyFill="1" applyBorder="1" applyAlignment="1">
      <alignment horizontal="center"/>
      <protection/>
    </xf>
    <xf numFmtId="3" fontId="13" fillId="0" borderId="23" xfId="21" applyNumberFormat="1" applyFont="1" applyBorder="1">
      <alignment/>
      <protection/>
    </xf>
    <xf numFmtId="0" fontId="13" fillId="2" borderId="24" xfId="21" applyFont="1" applyFill="1" applyBorder="1">
      <alignment/>
      <protection/>
    </xf>
    <xf numFmtId="0" fontId="13" fillId="2" borderId="24" xfId="21" applyFont="1" applyFill="1" applyBorder="1" applyAlignment="1">
      <alignment horizontal="center"/>
      <protection/>
    </xf>
    <xf numFmtId="172" fontId="14" fillId="0" borderId="25" xfId="23" applyNumberFormat="1" applyFont="1" applyBorder="1" applyAlignment="1">
      <alignment/>
    </xf>
    <xf numFmtId="172" fontId="14" fillId="0" borderId="26" xfId="23" applyNumberFormat="1" applyFont="1" applyBorder="1" applyAlignment="1">
      <alignment/>
    </xf>
    <xf numFmtId="172" fontId="14" fillId="0" borderId="27" xfId="23" applyNumberFormat="1" applyFont="1" applyBorder="1" applyAlignment="1">
      <alignment/>
    </xf>
    <xf numFmtId="3" fontId="14" fillId="0" borderId="28" xfId="21" applyNumberFormat="1" applyFont="1" applyBorder="1">
      <alignment/>
      <protection/>
    </xf>
    <xf numFmtId="3" fontId="14" fillId="0" borderId="29" xfId="21" applyNumberFormat="1" applyFont="1" applyBorder="1">
      <alignment/>
      <protection/>
    </xf>
    <xf numFmtId="3" fontId="14" fillId="0" borderId="30" xfId="21" applyNumberFormat="1" applyFont="1" applyBorder="1">
      <alignment/>
      <protection/>
    </xf>
    <xf numFmtId="0" fontId="14" fillId="0" borderId="31" xfId="21" applyFont="1" applyBorder="1" applyAlignment="1">
      <alignment horizontal="left" indent="1"/>
      <protection/>
    </xf>
    <xf numFmtId="0" fontId="14" fillId="0" borderId="32" xfId="21" applyFont="1" applyBorder="1" applyAlignment="1">
      <alignment horizontal="left" indent="1"/>
      <protection/>
    </xf>
    <xf numFmtId="0" fontId="14" fillId="0" borderId="33" xfId="21" applyFont="1" applyBorder="1" applyAlignment="1">
      <alignment horizontal="left" indent="1"/>
      <protection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30140277"/>
        <c:axId val="2827038"/>
      </c:barChart>
      <c:catAx>
        <c:axId val="30140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40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01942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5431750" y="9210675"/>
        <a:ext cx="1201102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2">
        <s v="BANCO DE BOGOTA"/>
        <s v="BANCO POPULAR S.A."/>
        <s v="BANCOLOMBIA S.A."/>
        <s v="CITIBANK"/>
        <s v="BANISTMO COLOMBIA S.A."/>
        <s v="BBVA COLOMBIA"/>
        <s v="OCCIDENTE"/>
        <s v="BANCO CAJA SOCIAL BCSC"/>
        <s v="BANCO AGRARIO DE COLOMBIA S.A."/>
        <s v="AV VILLAS"/>
        <s v="HSBC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tlántico"/>
        <s v="Bogotá, D.C."/>
        <s v="Bolívar"/>
        <s v="Cundinamarca"/>
        <s v="Boyacá"/>
        <s v="Meta"/>
        <s v="Norte de Santander"/>
        <s v="Santander"/>
        <s v="Valle del Cauca"/>
        <s v="Arauca"/>
        <s v="Archipiélago de San Andrés, Providencia y Santa Catalina"/>
        <s v="Antioquia"/>
        <s v="Caldas"/>
        <s v="Cauca"/>
        <s v="Cesar"/>
        <s v="Córdoba"/>
        <s v="Chocó"/>
        <s v="Huila"/>
        <s v="La Guajira"/>
        <s v="Magdalena"/>
        <s v="Nariño"/>
        <s v="Quindío"/>
        <s v="Risaralda"/>
        <s v="Sucre"/>
        <s v="Tolima"/>
        <s v="Casanare"/>
        <s v="Putumayo"/>
        <s v="Caquetá"/>
        <s v="Amazonas"/>
        <s v="Guainía"/>
        <s v="Guaviare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2">
        <s v="BANCO DE BOGOTA"/>
        <s v="BANCO POPULAR S.A."/>
        <s v="BANCOLOMBIA S.A."/>
        <s v="CITIBANK"/>
        <s v="BANISTMO COLOMBIA S.A."/>
        <s v="BBVA COLOMBIA"/>
        <s v="OCCIDENTE"/>
        <s v="BANCO CAJA SOCIAL BCSC"/>
        <s v="BANCO AGRARIO DE COLOMBIA S.A."/>
        <s v="AV VILLAS"/>
        <s v="HSBC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tlántico"/>
        <s v="Bogotá, D.C."/>
        <s v="Bolívar"/>
        <s v="Cundinamarca"/>
        <s v="Boyacá"/>
        <s v="Meta"/>
        <s v="Norte de Santander"/>
        <s v="Santander"/>
        <s v="Valle del Cauca"/>
        <s v="Arauca"/>
        <s v="Archipiélago de San Andrés, Providencia y Santa Catalina"/>
        <s v="Antioquia"/>
        <s v="Caldas"/>
        <s v="Cauca"/>
        <s v="Cesar"/>
        <s v="Córdoba"/>
        <s v="Chocó"/>
        <s v="Huila"/>
        <s v="La Guajira"/>
        <s v="Magdalena"/>
        <s v="Nariño"/>
        <s v="Quindío"/>
        <s v="Risaralda"/>
        <s v="Sucre"/>
        <s v="Tolima"/>
        <s v="Casanare"/>
        <s v="Putumayo"/>
        <s v="Caquetá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 count="10">
        <s v="BANCO DE BOGOTA"/>
        <s v="BANCO POPULAR S.A."/>
        <s v="BANCOLOMBIA S.A."/>
        <s v="CITIBANK"/>
        <s v="BANISTMO COLOMBIA S.A."/>
        <s v="BBVA COLOMBIA"/>
        <s v="OCCIDENTE"/>
        <s v="BANCO CAJA SOCIAL BCSC"/>
        <s v="BANCO AGRARIO DE COLOMBIA S.A."/>
        <s v="AV VILLAS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x="3"/>
        <item x="2"/>
        <item x="8"/>
        <item x="9"/>
        <item x="1"/>
        <item m="1" x="10"/>
        <item x="5"/>
        <item x="0"/>
        <item x="7"/>
        <item x="6"/>
        <item x="4"/>
        <item m="1" x="11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11"/>
        <item x="9"/>
        <item x="10"/>
        <item x="0"/>
        <item x="1"/>
        <item x="2"/>
        <item x="4"/>
        <item x="12"/>
        <item x="27"/>
        <item x="25"/>
        <item x="13"/>
        <item x="14"/>
        <item x="16"/>
        <item x="15"/>
        <item x="3"/>
        <item x="29"/>
        <item x="30"/>
        <item x="17"/>
        <item x="18"/>
        <item x="19"/>
        <item x="5"/>
        <item x="20"/>
        <item x="6"/>
        <item x="26"/>
        <item x="21"/>
        <item x="22"/>
        <item x="7"/>
        <item x="23"/>
        <item x="24"/>
        <item x="8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3">
        <item x="3"/>
        <item x="2"/>
        <item x="8"/>
        <item x="9"/>
        <item x="5"/>
        <item x="1"/>
        <item x="0"/>
        <item x="7"/>
        <item x="6"/>
        <item x="4"/>
        <item m="1" x="11"/>
        <item m="1" x="10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1"/>
        <item x="11"/>
        <item x="8"/>
        <item x="3"/>
        <item x="0"/>
        <item x="7"/>
        <item x="4"/>
        <item x="24"/>
        <item x="20"/>
        <item x="2"/>
        <item x="22"/>
        <item x="17"/>
        <item x="12"/>
        <item x="5"/>
        <item x="6"/>
        <item x="19"/>
        <item x="15"/>
        <item x="21"/>
        <item x="14"/>
        <item x="13"/>
        <item x="23"/>
        <item x="25"/>
        <item x="18"/>
        <item x="27"/>
        <item x="16"/>
        <item x="9"/>
        <item x="26"/>
        <item x="28"/>
        <item x="30"/>
        <item x="10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7"/>
  <sheetViews>
    <sheetView showGridLines="0" tabSelected="1" workbookViewId="0" topLeftCell="A1">
      <selection activeCell="E30" sqref="E30"/>
    </sheetView>
  </sheetViews>
  <sheetFormatPr defaultColWidth="11.421875" defaultRowHeight="12.75"/>
  <cols>
    <col min="1" max="1" width="31.710937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tr">
        <f>'TB -Listado de CNB x Ent x Mpio'!G61</f>
        <v>Archipiélago de San Andrés, Providencia y Santa Catalina - 6  CNBS 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40</v>
      </c>
      <c r="B19" s="66">
        <v>1</v>
      </c>
      <c r="C19" s="63">
        <f aca="true" t="shared" si="0" ref="C19:C50">B19/$B$50</f>
        <v>0.00020491803278688525</v>
      </c>
    </row>
    <row r="20" spans="1:3" ht="12.75">
      <c r="A20" s="70" t="s">
        <v>19</v>
      </c>
      <c r="B20" s="67">
        <v>4</v>
      </c>
      <c r="C20" s="64">
        <f t="shared" si="0"/>
        <v>0.000819672131147541</v>
      </c>
    </row>
    <row r="21" spans="1:3" ht="12.75">
      <c r="A21" s="70" t="s">
        <v>10</v>
      </c>
      <c r="B21" s="67">
        <v>5</v>
      </c>
      <c r="C21" s="64">
        <f t="shared" si="0"/>
        <v>0.0010245901639344263</v>
      </c>
    </row>
    <row r="22" spans="1:3" ht="12.75">
      <c r="A22" s="70" t="s">
        <v>38</v>
      </c>
      <c r="B22" s="67">
        <v>6</v>
      </c>
      <c r="C22" s="64">
        <f t="shared" si="0"/>
        <v>0.0012295081967213116</v>
      </c>
    </row>
    <row r="23" spans="1:3" ht="12.75">
      <c r="A23" s="70" t="s">
        <v>37</v>
      </c>
      <c r="B23" s="67">
        <v>8</v>
      </c>
      <c r="C23" s="64">
        <f t="shared" si="0"/>
        <v>0.001639344262295082</v>
      </c>
    </row>
    <row r="24" spans="1:3" ht="12.75">
      <c r="A24" s="70" t="s">
        <v>25</v>
      </c>
      <c r="B24" s="67">
        <v>10</v>
      </c>
      <c r="C24" s="64">
        <f t="shared" si="0"/>
        <v>0.0020491803278688526</v>
      </c>
    </row>
    <row r="25" spans="1:3" ht="12.75">
      <c r="A25" s="70" t="s">
        <v>14</v>
      </c>
      <c r="B25" s="67">
        <v>14</v>
      </c>
      <c r="C25" s="64">
        <f t="shared" si="0"/>
        <v>0.0028688524590163933</v>
      </c>
    </row>
    <row r="26" spans="1:3" ht="12.75">
      <c r="A26" s="70" t="s">
        <v>20</v>
      </c>
      <c r="B26" s="67">
        <v>15</v>
      </c>
      <c r="C26" s="64">
        <f t="shared" si="0"/>
        <v>0.0030737704918032786</v>
      </c>
    </row>
    <row r="27" spans="1:3" ht="12.75">
      <c r="A27" s="70" t="s">
        <v>17</v>
      </c>
      <c r="B27" s="67">
        <v>23</v>
      </c>
      <c r="C27" s="64">
        <f t="shared" si="0"/>
        <v>0.004713114754098361</v>
      </c>
    </row>
    <row r="28" spans="1:3" ht="12.75">
      <c r="A28" s="70" t="s">
        <v>39</v>
      </c>
      <c r="B28" s="67">
        <v>28</v>
      </c>
      <c r="C28" s="64">
        <f t="shared" si="0"/>
        <v>0.005737704918032787</v>
      </c>
    </row>
    <row r="29" spans="1:3" ht="12.75">
      <c r="A29" s="70" t="s">
        <v>26</v>
      </c>
      <c r="B29" s="67">
        <v>28</v>
      </c>
      <c r="C29" s="64">
        <f t="shared" si="0"/>
        <v>0.005737704918032787</v>
      </c>
    </row>
    <row r="30" spans="1:3" ht="12.75">
      <c r="A30" s="70" t="s">
        <v>15</v>
      </c>
      <c r="B30" s="67">
        <v>40</v>
      </c>
      <c r="C30" s="64">
        <f t="shared" si="0"/>
        <v>0.00819672131147541</v>
      </c>
    </row>
    <row r="31" spans="1:3" ht="12.75">
      <c r="A31" s="70" t="s">
        <v>34</v>
      </c>
      <c r="B31" s="67">
        <v>46</v>
      </c>
      <c r="C31" s="64">
        <f t="shared" si="0"/>
        <v>0.009426229508196722</v>
      </c>
    </row>
    <row r="32" spans="1:3" ht="12.75">
      <c r="A32" s="70" t="s">
        <v>16</v>
      </c>
      <c r="B32" s="67">
        <v>48</v>
      </c>
      <c r="C32" s="64">
        <f t="shared" si="0"/>
        <v>0.009836065573770493</v>
      </c>
    </row>
    <row r="33" spans="1:3" ht="12.75">
      <c r="A33" s="70" t="s">
        <v>18</v>
      </c>
      <c r="B33" s="67">
        <v>54</v>
      </c>
      <c r="C33" s="64">
        <f t="shared" si="0"/>
        <v>0.011065573770491803</v>
      </c>
    </row>
    <row r="34" spans="1:3" ht="12.75">
      <c r="A34" s="70" t="s">
        <v>31</v>
      </c>
      <c r="B34" s="67">
        <v>68</v>
      </c>
      <c r="C34" s="64">
        <f t="shared" si="0"/>
        <v>0.013934426229508197</v>
      </c>
    </row>
    <row r="35" spans="1:3" ht="12.75">
      <c r="A35" s="70" t="s">
        <v>22</v>
      </c>
      <c r="B35" s="67">
        <v>69</v>
      </c>
      <c r="C35" s="64">
        <f t="shared" si="0"/>
        <v>0.014139344262295081</v>
      </c>
    </row>
    <row r="36" spans="1:3" ht="12.75">
      <c r="A36" s="70" t="s">
        <v>24</v>
      </c>
      <c r="B36" s="67">
        <v>69</v>
      </c>
      <c r="C36" s="64">
        <f t="shared" si="0"/>
        <v>0.014139344262295081</v>
      </c>
    </row>
    <row r="37" spans="1:3" ht="12.75">
      <c r="A37" s="70" t="s">
        <v>6</v>
      </c>
      <c r="B37" s="67">
        <v>73</v>
      </c>
      <c r="C37" s="64">
        <f t="shared" si="0"/>
        <v>0.014959016393442623</v>
      </c>
    </row>
    <row r="38" spans="1:3" ht="12.75">
      <c r="A38" s="70" t="s">
        <v>21</v>
      </c>
      <c r="B38" s="67">
        <v>73</v>
      </c>
      <c r="C38" s="64">
        <f t="shared" si="0"/>
        <v>0.014959016393442623</v>
      </c>
    </row>
    <row r="39" spans="1:3" ht="12.75">
      <c r="A39" s="70" t="s">
        <v>32</v>
      </c>
      <c r="B39" s="67">
        <v>86</v>
      </c>
      <c r="C39" s="64">
        <f t="shared" si="0"/>
        <v>0.01762295081967213</v>
      </c>
    </row>
    <row r="40" spans="1:3" ht="12.75">
      <c r="A40" s="70" t="s">
        <v>23</v>
      </c>
      <c r="B40" s="67">
        <v>91</v>
      </c>
      <c r="C40" s="64">
        <f t="shared" si="0"/>
        <v>0.018647540983606558</v>
      </c>
    </row>
    <row r="41" spans="1:3" ht="12.75">
      <c r="A41" s="70" t="s">
        <v>13</v>
      </c>
      <c r="B41" s="67">
        <v>108</v>
      </c>
      <c r="C41" s="64">
        <f t="shared" si="0"/>
        <v>0.022131147540983605</v>
      </c>
    </row>
    <row r="42" spans="1:3" ht="12.75">
      <c r="A42" s="70" t="s">
        <v>5</v>
      </c>
      <c r="B42" s="67">
        <v>149</v>
      </c>
      <c r="C42" s="64">
        <f t="shared" si="0"/>
        <v>0.0305327868852459</v>
      </c>
    </row>
    <row r="43" spans="1:3" ht="12.75">
      <c r="A43" s="70" t="s">
        <v>33</v>
      </c>
      <c r="B43" s="67">
        <v>156</v>
      </c>
      <c r="C43" s="64">
        <f t="shared" si="0"/>
        <v>0.031967213114754096</v>
      </c>
    </row>
    <row r="44" spans="1:3" ht="12.75">
      <c r="A44" s="70" t="s">
        <v>8</v>
      </c>
      <c r="B44" s="67">
        <v>239</v>
      </c>
      <c r="C44" s="64">
        <f t="shared" si="0"/>
        <v>0.048975409836065575</v>
      </c>
    </row>
    <row r="45" spans="1:3" ht="12.75">
      <c r="A45" s="70" t="s">
        <v>7</v>
      </c>
      <c r="B45" s="67">
        <v>292</v>
      </c>
      <c r="C45" s="64">
        <f t="shared" si="0"/>
        <v>0.05983606557377049</v>
      </c>
    </row>
    <row r="46" spans="1:3" ht="12.75">
      <c r="A46" s="70" t="s">
        <v>2</v>
      </c>
      <c r="B46" s="67">
        <v>298</v>
      </c>
      <c r="C46" s="64">
        <f t="shared" si="0"/>
        <v>0.0610655737704918</v>
      </c>
    </row>
    <row r="47" spans="1:3" ht="12.75">
      <c r="A47" s="70" t="s">
        <v>9</v>
      </c>
      <c r="B47" s="67">
        <v>447</v>
      </c>
      <c r="C47" s="64">
        <f t="shared" si="0"/>
        <v>0.0915983606557377</v>
      </c>
    </row>
    <row r="48" spans="1:3" ht="12.75">
      <c r="A48" s="70" t="s">
        <v>12</v>
      </c>
      <c r="B48" s="67">
        <v>774</v>
      </c>
      <c r="C48" s="64">
        <f t="shared" si="0"/>
        <v>0.15860655737704918</v>
      </c>
    </row>
    <row r="49" spans="1:3" ht="13.5" thickBot="1">
      <c r="A49" s="71" t="s">
        <v>4</v>
      </c>
      <c r="B49" s="68">
        <v>1558</v>
      </c>
      <c r="C49" s="65">
        <f t="shared" si="0"/>
        <v>0.31926229508196724</v>
      </c>
    </row>
    <row r="50" spans="1:3" ht="13.5" thickBot="1">
      <c r="A50" s="61" t="s">
        <v>44</v>
      </c>
      <c r="B50" s="60">
        <f>SUM(B19:B49)</f>
        <v>4880</v>
      </c>
      <c r="C50" s="58">
        <f t="shared" si="0"/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55</v>
      </c>
      <c r="C53" s="57" t="s">
        <v>53</v>
      </c>
    </row>
    <row r="54" spans="1:3" ht="12.75">
      <c r="A54" s="69" t="s">
        <v>36</v>
      </c>
      <c r="B54" s="66">
        <v>3983</v>
      </c>
      <c r="C54" s="63">
        <f>B54/$B$64</f>
        <v>0.8161885245901639</v>
      </c>
    </row>
    <row r="55" spans="1:3" ht="12.75">
      <c r="A55" s="70" t="s">
        <v>30</v>
      </c>
      <c r="B55" s="67">
        <v>326</v>
      </c>
      <c r="C55" s="64">
        <f aca="true" t="shared" si="1" ref="C55:C64">B55/$B$64</f>
        <v>0.06680327868852459</v>
      </c>
    </row>
    <row r="56" spans="1:3" ht="12.75">
      <c r="A56" s="70" t="s">
        <v>11</v>
      </c>
      <c r="B56" s="67">
        <v>228</v>
      </c>
      <c r="C56" s="64">
        <f t="shared" si="1"/>
        <v>0.04672131147540984</v>
      </c>
    </row>
    <row r="57" spans="1:3" ht="12.75">
      <c r="A57" s="70" t="s">
        <v>3</v>
      </c>
      <c r="B57" s="67">
        <v>100</v>
      </c>
      <c r="C57" s="64">
        <f t="shared" si="1"/>
        <v>0.020491803278688523</v>
      </c>
    </row>
    <row r="58" spans="1:3" ht="12.75">
      <c r="A58" s="70" t="s">
        <v>29</v>
      </c>
      <c r="B58" s="67">
        <v>99</v>
      </c>
      <c r="C58" s="64">
        <f t="shared" si="1"/>
        <v>0.02028688524590164</v>
      </c>
    </row>
    <row r="59" spans="1:3" ht="12.75">
      <c r="A59" s="70" t="s">
        <v>54</v>
      </c>
      <c r="B59" s="67">
        <v>65</v>
      </c>
      <c r="C59" s="64">
        <f t="shared" si="1"/>
        <v>0.01331967213114754</v>
      </c>
    </row>
    <row r="60" spans="1:3" ht="12.75">
      <c r="A60" s="70" t="s">
        <v>35</v>
      </c>
      <c r="B60" s="67">
        <v>38</v>
      </c>
      <c r="C60" s="64">
        <f t="shared" si="1"/>
        <v>0.00778688524590164</v>
      </c>
    </row>
    <row r="61" spans="1:3" ht="12.75">
      <c r="A61" s="70" t="s">
        <v>27</v>
      </c>
      <c r="B61" s="67">
        <v>20</v>
      </c>
      <c r="C61" s="64">
        <f t="shared" si="1"/>
        <v>0.004098360655737705</v>
      </c>
    </row>
    <row r="62" spans="1:3" ht="12.75">
      <c r="A62" s="70" t="s">
        <v>28</v>
      </c>
      <c r="B62" s="67">
        <v>17</v>
      </c>
      <c r="C62" s="64">
        <f t="shared" si="1"/>
        <v>0.0034836065573770492</v>
      </c>
    </row>
    <row r="63" spans="1:3" ht="13.5" thickBot="1">
      <c r="A63" s="71" t="s">
        <v>41</v>
      </c>
      <c r="B63" s="68">
        <v>4</v>
      </c>
      <c r="C63" s="65">
        <f t="shared" si="1"/>
        <v>0.000819672131147541</v>
      </c>
    </row>
    <row r="64" spans="1:3" ht="13.5" thickBot="1">
      <c r="A64" s="61" t="s">
        <v>44</v>
      </c>
      <c r="B64" s="60">
        <v>4880</v>
      </c>
      <c r="C64" s="58">
        <f t="shared" si="1"/>
        <v>1</v>
      </c>
    </row>
    <row r="67" ht="12.75">
      <c r="B67" t="s">
        <v>51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A13">
      <selection activeCell="O35" sqref="O35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9" width="39.28125" style="1" customWidth="1"/>
    <col min="10" max="10" width="39.28125" style="1" bestFit="1" customWidth="1"/>
    <col min="11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3983</v>
      </c>
    </row>
    <row r="6" spans="1:2" ht="12.75">
      <c r="A6" s="31" t="s">
        <v>30</v>
      </c>
      <c r="B6" s="32">
        <v>326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100</v>
      </c>
    </row>
    <row r="9" spans="1:2" ht="12.75">
      <c r="A9" s="31" t="s">
        <v>29</v>
      </c>
      <c r="B9" s="32">
        <v>99</v>
      </c>
    </row>
    <row r="10" spans="1:2" ht="12.75">
      <c r="A10" s="31" t="s">
        <v>35</v>
      </c>
      <c r="B10" s="32">
        <v>38</v>
      </c>
    </row>
    <row r="11" spans="1:2" ht="12.75">
      <c r="A11" s="31" t="s">
        <v>28</v>
      </c>
      <c r="B11" s="32">
        <v>17</v>
      </c>
    </row>
    <row r="12" spans="1:2" ht="12.75">
      <c r="A12" s="31" t="s">
        <v>27</v>
      </c>
      <c r="B12" s="32">
        <v>20</v>
      </c>
    </row>
    <row r="13" spans="1:2" ht="12.75">
      <c r="A13" s="31" t="s">
        <v>41</v>
      </c>
      <c r="B13" s="32">
        <v>4</v>
      </c>
    </row>
    <row r="14" spans="1:2" ht="12.75">
      <c r="A14" s="31" t="s">
        <v>54</v>
      </c>
      <c r="B14" s="32">
        <v>65</v>
      </c>
    </row>
    <row r="15" spans="1:2" ht="12.75">
      <c r="A15" s="27" t="s">
        <v>44</v>
      </c>
      <c r="B15" s="28">
        <v>4880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665</v>
      </c>
      <c r="C23" s="51">
        <v>80</v>
      </c>
      <c r="D23" s="51">
        <v>12</v>
      </c>
      <c r="E23" s="51"/>
      <c r="F23" s="51">
        <v>9</v>
      </c>
      <c r="G23" s="51">
        <v>7</v>
      </c>
      <c r="H23" s="51"/>
      <c r="I23" s="51">
        <v>1</v>
      </c>
      <c r="J23" s="51"/>
      <c r="K23" s="51"/>
      <c r="L23" s="32">
        <v>774</v>
      </c>
      <c r="N23" s="9">
        <f t="shared" si="0"/>
        <v>109</v>
      </c>
      <c r="O23" s="50">
        <v>665</v>
      </c>
      <c r="P23" s="9">
        <f t="shared" si="1"/>
        <v>774</v>
      </c>
      <c r="Q23" s="5"/>
      <c r="R23" s="14" t="s">
        <v>12</v>
      </c>
      <c r="S23" s="12">
        <f t="shared" si="2"/>
        <v>109</v>
      </c>
      <c r="T23" s="9">
        <f t="shared" si="3"/>
        <v>665</v>
      </c>
      <c r="U23" s="15">
        <f t="shared" si="4"/>
        <v>774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3</v>
      </c>
      <c r="H25" s="51"/>
      <c r="I25" s="51"/>
      <c r="J25" s="51"/>
      <c r="K25" s="51"/>
      <c r="L25" s="32">
        <v>6</v>
      </c>
      <c r="N25" s="9">
        <f t="shared" si="0"/>
        <v>3</v>
      </c>
      <c r="O25" s="50">
        <v>3</v>
      </c>
      <c r="P25" s="9">
        <f t="shared" si="1"/>
        <v>6</v>
      </c>
      <c r="Q25" s="5"/>
      <c r="R25" s="14" t="s">
        <v>38</v>
      </c>
      <c r="S25" s="12">
        <f t="shared" si="2"/>
        <v>3</v>
      </c>
      <c r="T25" s="9">
        <f t="shared" si="3"/>
        <v>3</v>
      </c>
      <c r="U25" s="15">
        <f t="shared" si="4"/>
        <v>6</v>
      </c>
    </row>
    <row r="26" spans="1:21" ht="12.75">
      <c r="A26" s="31" t="s">
        <v>2</v>
      </c>
      <c r="B26" s="50">
        <v>248</v>
      </c>
      <c r="C26" s="51">
        <v>10</v>
      </c>
      <c r="D26" s="51">
        <v>11</v>
      </c>
      <c r="E26" s="51">
        <v>24</v>
      </c>
      <c r="F26" s="51">
        <v>1</v>
      </c>
      <c r="G26" s="51"/>
      <c r="H26" s="51">
        <v>1</v>
      </c>
      <c r="I26" s="51">
        <v>2</v>
      </c>
      <c r="J26" s="51"/>
      <c r="K26" s="51">
        <v>1</v>
      </c>
      <c r="L26" s="32">
        <v>298</v>
      </c>
      <c r="N26" s="9">
        <f t="shared" si="0"/>
        <v>50</v>
      </c>
      <c r="O26" s="50">
        <v>248</v>
      </c>
      <c r="P26" s="9">
        <f t="shared" si="1"/>
        <v>298</v>
      </c>
      <c r="Q26" s="5"/>
      <c r="R26" s="14" t="s">
        <v>2</v>
      </c>
      <c r="S26" s="12">
        <f t="shared" si="2"/>
        <v>50</v>
      </c>
      <c r="T26" s="9">
        <f t="shared" si="3"/>
        <v>248</v>
      </c>
      <c r="U26" s="15">
        <f t="shared" si="4"/>
        <v>298</v>
      </c>
    </row>
    <row r="27" spans="1:21" ht="12.75">
      <c r="A27" s="31" t="s">
        <v>4</v>
      </c>
      <c r="B27" s="50">
        <v>1369</v>
      </c>
      <c r="C27" s="51">
        <v>10</v>
      </c>
      <c r="D27" s="51">
        <v>1</v>
      </c>
      <c r="E27" s="51">
        <v>20</v>
      </c>
      <c r="F27" s="51">
        <v>6</v>
      </c>
      <c r="G27" s="51">
        <v>71</v>
      </c>
      <c r="H27" s="51">
        <v>11</v>
      </c>
      <c r="I27" s="51">
        <v>15</v>
      </c>
      <c r="J27" s="51">
        <v>4</v>
      </c>
      <c r="K27" s="51">
        <v>51</v>
      </c>
      <c r="L27" s="32">
        <v>1558</v>
      </c>
      <c r="N27" s="9">
        <f t="shared" si="0"/>
        <v>189</v>
      </c>
      <c r="O27" s="50">
        <v>1369</v>
      </c>
      <c r="P27" s="9">
        <f t="shared" si="1"/>
        <v>1558</v>
      </c>
      <c r="Q27" s="5"/>
      <c r="R27" s="14" t="s">
        <v>4</v>
      </c>
      <c r="S27" s="12">
        <f t="shared" si="2"/>
        <v>189</v>
      </c>
      <c r="T27" s="9">
        <f t="shared" si="3"/>
        <v>1369</v>
      </c>
      <c r="U27" s="15">
        <f t="shared" si="4"/>
        <v>1558</v>
      </c>
    </row>
    <row r="28" spans="1:21" ht="12.75">
      <c r="A28" s="31" t="s">
        <v>13</v>
      </c>
      <c r="B28" s="50">
        <v>71</v>
      </c>
      <c r="C28" s="51">
        <v>6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3</v>
      </c>
      <c r="L28" s="32">
        <v>108</v>
      </c>
      <c r="N28" s="9">
        <f t="shared" si="0"/>
        <v>37</v>
      </c>
      <c r="O28" s="50">
        <v>71</v>
      </c>
      <c r="P28" s="9">
        <f t="shared" si="1"/>
        <v>108</v>
      </c>
      <c r="Q28" s="5"/>
      <c r="R28" s="14" t="s">
        <v>13</v>
      </c>
      <c r="S28" s="12">
        <f t="shared" si="2"/>
        <v>37</v>
      </c>
      <c r="T28" s="9">
        <f t="shared" si="3"/>
        <v>71</v>
      </c>
      <c r="U28" s="15">
        <f t="shared" si="4"/>
        <v>108</v>
      </c>
    </row>
    <row r="29" spans="1:21" ht="12.75">
      <c r="A29" s="31" t="s">
        <v>5</v>
      </c>
      <c r="B29" s="50">
        <v>97</v>
      </c>
      <c r="C29" s="51">
        <v>10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149</v>
      </c>
      <c r="N29" s="9">
        <f t="shared" si="0"/>
        <v>52</v>
      </c>
      <c r="O29" s="50">
        <v>97</v>
      </c>
      <c r="P29" s="9">
        <f t="shared" si="1"/>
        <v>149</v>
      </c>
      <c r="Q29" s="5"/>
      <c r="R29" s="14" t="s">
        <v>5</v>
      </c>
      <c r="S29" s="12">
        <f t="shared" si="2"/>
        <v>52</v>
      </c>
      <c r="T29" s="9">
        <f t="shared" si="3"/>
        <v>97</v>
      </c>
      <c r="U29" s="15">
        <f t="shared" si="4"/>
        <v>149</v>
      </c>
    </row>
    <row r="30" spans="1:21" ht="12.75">
      <c r="A30" s="31" t="s">
        <v>6</v>
      </c>
      <c r="B30" s="50">
        <v>51</v>
      </c>
      <c r="C30" s="51">
        <v>12</v>
      </c>
      <c r="D30" s="51">
        <v>1</v>
      </c>
      <c r="E30" s="51">
        <v>9</v>
      </c>
      <c r="F30" s="51"/>
      <c r="G30" s="51"/>
      <c r="H30" s="51"/>
      <c r="I30" s="51"/>
      <c r="J30" s="51"/>
      <c r="K30" s="51"/>
      <c r="L30" s="32">
        <v>73</v>
      </c>
      <c r="N30" s="9">
        <f t="shared" si="0"/>
        <v>22</v>
      </c>
      <c r="O30" s="50">
        <v>51</v>
      </c>
      <c r="P30" s="9">
        <f t="shared" si="1"/>
        <v>73</v>
      </c>
      <c r="Q30" s="5"/>
      <c r="R30" s="14" t="s">
        <v>6</v>
      </c>
      <c r="S30" s="12">
        <f t="shared" si="2"/>
        <v>22</v>
      </c>
      <c r="T30" s="9">
        <f t="shared" si="3"/>
        <v>51</v>
      </c>
      <c r="U30" s="15">
        <f t="shared" si="4"/>
        <v>73</v>
      </c>
    </row>
    <row r="31" spans="1:21" ht="12.75">
      <c r="A31" s="31" t="s">
        <v>14</v>
      </c>
      <c r="B31" s="50">
        <v>11</v>
      </c>
      <c r="C31" s="51"/>
      <c r="D31" s="51">
        <v>3</v>
      </c>
      <c r="E31" s="51"/>
      <c r="F31" s="51"/>
      <c r="G31" s="51"/>
      <c r="H31" s="51"/>
      <c r="I31" s="51"/>
      <c r="J31" s="51"/>
      <c r="K31" s="51"/>
      <c r="L31" s="32">
        <v>14</v>
      </c>
      <c r="N31" s="9">
        <f t="shared" si="0"/>
        <v>3</v>
      </c>
      <c r="O31" s="50">
        <v>11</v>
      </c>
      <c r="P31" s="9">
        <f t="shared" si="1"/>
        <v>14</v>
      </c>
      <c r="Q31" s="5"/>
      <c r="R31" s="14" t="s">
        <v>14</v>
      </c>
      <c r="S31" s="12">
        <f t="shared" si="2"/>
        <v>3</v>
      </c>
      <c r="T31" s="9">
        <f t="shared" si="3"/>
        <v>11</v>
      </c>
      <c r="U31" s="15">
        <f t="shared" si="4"/>
        <v>14</v>
      </c>
    </row>
    <row r="32" spans="1:21" ht="12.75">
      <c r="A32" s="31" t="s">
        <v>39</v>
      </c>
      <c r="B32" s="50">
        <v>25</v>
      </c>
      <c r="C32" s="51">
        <v>3</v>
      </c>
      <c r="D32" s="51"/>
      <c r="E32" s="51"/>
      <c r="F32" s="51"/>
      <c r="G32" s="51"/>
      <c r="H32" s="51"/>
      <c r="I32" s="51"/>
      <c r="J32" s="51"/>
      <c r="K32" s="51"/>
      <c r="L32" s="32">
        <v>28</v>
      </c>
      <c r="N32" s="9">
        <f t="shared" si="0"/>
        <v>3</v>
      </c>
      <c r="O32" s="50">
        <v>25</v>
      </c>
      <c r="P32" s="9">
        <f t="shared" si="1"/>
        <v>28</v>
      </c>
      <c r="Q32" s="5"/>
      <c r="R32" s="14" t="s">
        <v>39</v>
      </c>
      <c r="S32" s="12">
        <f t="shared" si="2"/>
        <v>3</v>
      </c>
      <c r="T32" s="9">
        <f t="shared" si="3"/>
        <v>25</v>
      </c>
      <c r="U32" s="15">
        <f t="shared" si="4"/>
        <v>28</v>
      </c>
    </row>
    <row r="33" spans="1:21" ht="12.75">
      <c r="A33" s="31" t="s">
        <v>15</v>
      </c>
      <c r="B33" s="50">
        <v>30</v>
      </c>
      <c r="C33" s="51">
        <v>5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40</v>
      </c>
      <c r="N33" s="9">
        <f t="shared" si="0"/>
        <v>10</v>
      </c>
      <c r="O33" s="50">
        <v>30</v>
      </c>
      <c r="P33" s="9">
        <f t="shared" si="1"/>
        <v>40</v>
      </c>
      <c r="Q33" s="5"/>
      <c r="R33" s="14" t="s">
        <v>15</v>
      </c>
      <c r="S33" s="12">
        <f t="shared" si="2"/>
        <v>10</v>
      </c>
      <c r="T33" s="9">
        <f t="shared" si="3"/>
        <v>30</v>
      </c>
      <c r="U33" s="15">
        <f t="shared" si="4"/>
        <v>40</v>
      </c>
    </row>
    <row r="34" spans="1:21" ht="12.75">
      <c r="A34" s="31" t="s">
        <v>16</v>
      </c>
      <c r="B34" s="50">
        <v>29</v>
      </c>
      <c r="C34" s="51">
        <v>13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48</v>
      </c>
      <c r="N34" s="9">
        <f t="shared" si="0"/>
        <v>19</v>
      </c>
      <c r="O34" s="50">
        <v>29</v>
      </c>
      <c r="P34" s="9">
        <f t="shared" si="1"/>
        <v>48</v>
      </c>
      <c r="Q34" s="5"/>
      <c r="R34" s="14" t="s">
        <v>16</v>
      </c>
      <c r="S34" s="12">
        <f t="shared" si="2"/>
        <v>19</v>
      </c>
      <c r="T34" s="9">
        <f t="shared" si="3"/>
        <v>29</v>
      </c>
      <c r="U34" s="15">
        <f t="shared" si="4"/>
        <v>48</v>
      </c>
    </row>
    <row r="35" spans="1:21" ht="12.75">
      <c r="A35" s="31" t="s">
        <v>17</v>
      </c>
      <c r="B35" s="50">
        <v>6</v>
      </c>
      <c r="C35" s="51">
        <v>2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23</v>
      </c>
      <c r="N35" s="9">
        <f t="shared" si="0"/>
        <v>17</v>
      </c>
      <c r="O35" s="50">
        <v>6</v>
      </c>
      <c r="P35" s="9">
        <f t="shared" si="1"/>
        <v>23</v>
      </c>
      <c r="Q35" s="5"/>
      <c r="R35" s="14" t="s">
        <v>17</v>
      </c>
      <c r="S35" s="12">
        <f t="shared" si="2"/>
        <v>17</v>
      </c>
      <c r="T35" s="9">
        <f t="shared" si="3"/>
        <v>6</v>
      </c>
      <c r="U35" s="15">
        <f t="shared" si="4"/>
        <v>23</v>
      </c>
    </row>
    <row r="36" spans="1:21" ht="12.75">
      <c r="A36" s="31" t="s">
        <v>18</v>
      </c>
      <c r="B36" s="50">
        <v>32</v>
      </c>
      <c r="C36" s="51">
        <v>14</v>
      </c>
      <c r="D36" s="51">
        <v>3</v>
      </c>
      <c r="E36" s="51"/>
      <c r="F36" s="51">
        <v>5</v>
      </c>
      <c r="G36" s="51"/>
      <c r="H36" s="51"/>
      <c r="I36" s="51"/>
      <c r="J36" s="51"/>
      <c r="K36" s="51"/>
      <c r="L36" s="32">
        <v>54</v>
      </c>
      <c r="N36" s="9">
        <f t="shared" si="0"/>
        <v>22</v>
      </c>
      <c r="O36" s="50">
        <v>32</v>
      </c>
      <c r="P36" s="9">
        <f t="shared" si="1"/>
        <v>54</v>
      </c>
      <c r="Q36" s="5"/>
      <c r="R36" s="14" t="s">
        <v>18</v>
      </c>
      <c r="S36" s="12">
        <f t="shared" si="2"/>
        <v>22</v>
      </c>
      <c r="T36" s="9">
        <f t="shared" si="3"/>
        <v>32</v>
      </c>
      <c r="U36" s="15">
        <f t="shared" si="4"/>
        <v>54</v>
      </c>
    </row>
    <row r="37" spans="1:21" ht="12.75">
      <c r="A37" s="31" t="s">
        <v>7</v>
      </c>
      <c r="B37" s="50">
        <v>223</v>
      </c>
      <c r="C37" s="51">
        <v>37</v>
      </c>
      <c r="D37" s="51">
        <v>14</v>
      </c>
      <c r="E37" s="51">
        <v>5</v>
      </c>
      <c r="F37" s="51"/>
      <c r="G37" s="51">
        <v>5</v>
      </c>
      <c r="H37" s="51">
        <v>2</v>
      </c>
      <c r="I37" s="51"/>
      <c r="J37" s="51"/>
      <c r="K37" s="51">
        <v>6</v>
      </c>
      <c r="L37" s="32">
        <v>292</v>
      </c>
      <c r="N37" s="9">
        <f t="shared" si="0"/>
        <v>69</v>
      </c>
      <c r="O37" s="50">
        <v>223</v>
      </c>
      <c r="P37" s="9">
        <f t="shared" si="1"/>
        <v>292</v>
      </c>
      <c r="Q37" s="5"/>
      <c r="R37" s="14" t="s">
        <v>7</v>
      </c>
      <c r="S37" s="12">
        <f t="shared" si="2"/>
        <v>69</v>
      </c>
      <c r="T37" s="9">
        <f t="shared" si="3"/>
        <v>223</v>
      </c>
      <c r="U37" s="15">
        <f t="shared" si="4"/>
        <v>292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51</v>
      </c>
      <c r="C40" s="51">
        <v>17</v>
      </c>
      <c r="D40" s="51"/>
      <c r="E40" s="51"/>
      <c r="F40" s="51"/>
      <c r="G40" s="51"/>
      <c r="H40" s="51"/>
      <c r="I40" s="51"/>
      <c r="J40" s="51"/>
      <c r="K40" s="51"/>
      <c r="L40" s="32">
        <v>68</v>
      </c>
      <c r="N40" s="9">
        <f t="shared" si="0"/>
        <v>17</v>
      </c>
      <c r="O40" s="50">
        <v>51</v>
      </c>
      <c r="P40" s="9">
        <f t="shared" si="1"/>
        <v>68</v>
      </c>
      <c r="Q40" s="5"/>
      <c r="R40" s="14" t="s">
        <v>31</v>
      </c>
      <c r="S40" s="12">
        <f t="shared" si="2"/>
        <v>17</v>
      </c>
      <c r="T40" s="9">
        <f t="shared" si="3"/>
        <v>51</v>
      </c>
      <c r="U40" s="15">
        <f t="shared" si="4"/>
        <v>68</v>
      </c>
    </row>
    <row r="41" spans="1:21" ht="12.75">
      <c r="A41" s="31" t="s">
        <v>20</v>
      </c>
      <c r="B41" s="50">
        <v>8</v>
      </c>
      <c r="C41" s="51">
        <v>2</v>
      </c>
      <c r="D41" s="51">
        <v>5</v>
      </c>
      <c r="E41" s="51"/>
      <c r="F41" s="51"/>
      <c r="G41" s="51"/>
      <c r="H41" s="51"/>
      <c r="I41" s="51"/>
      <c r="J41" s="51"/>
      <c r="K41" s="51"/>
      <c r="L41" s="32">
        <v>15</v>
      </c>
      <c r="N41" s="9">
        <f t="shared" si="0"/>
        <v>7</v>
      </c>
      <c r="O41" s="50">
        <v>8</v>
      </c>
      <c r="P41" s="9">
        <f t="shared" si="1"/>
        <v>15</v>
      </c>
      <c r="Q41" s="5"/>
      <c r="R41" s="14" t="s">
        <v>20</v>
      </c>
      <c r="S41" s="12">
        <f t="shared" si="2"/>
        <v>7</v>
      </c>
      <c r="T41" s="9">
        <f t="shared" si="3"/>
        <v>8</v>
      </c>
      <c r="U41" s="15">
        <f t="shared" si="4"/>
        <v>15</v>
      </c>
    </row>
    <row r="42" spans="1:21" ht="12.75">
      <c r="A42" s="31" t="s">
        <v>21</v>
      </c>
      <c r="B42" s="50">
        <v>53</v>
      </c>
      <c r="C42" s="51">
        <v>4</v>
      </c>
      <c r="D42" s="51">
        <v>16</v>
      </c>
      <c r="E42" s="51"/>
      <c r="F42" s="51"/>
      <c r="G42" s="51"/>
      <c r="H42" s="51"/>
      <c r="I42" s="51"/>
      <c r="J42" s="51"/>
      <c r="K42" s="51"/>
      <c r="L42" s="32">
        <v>73</v>
      </c>
      <c r="N42" s="9">
        <f t="shared" si="0"/>
        <v>20</v>
      </c>
      <c r="O42" s="50">
        <v>53</v>
      </c>
      <c r="P42" s="9">
        <f t="shared" si="1"/>
        <v>73</v>
      </c>
      <c r="Q42" s="5"/>
      <c r="R42" s="14" t="s">
        <v>21</v>
      </c>
      <c r="S42" s="12">
        <f t="shared" si="2"/>
        <v>20</v>
      </c>
      <c r="T42" s="9">
        <f t="shared" si="3"/>
        <v>53</v>
      </c>
      <c r="U42" s="15">
        <f t="shared" si="4"/>
        <v>73</v>
      </c>
    </row>
    <row r="43" spans="1:21" ht="12.75">
      <c r="A43" s="31" t="s">
        <v>22</v>
      </c>
      <c r="B43" s="50">
        <v>58</v>
      </c>
      <c r="C43" s="51">
        <v>8</v>
      </c>
      <c r="D43" s="51">
        <v>2</v>
      </c>
      <c r="E43" s="51"/>
      <c r="F43" s="51"/>
      <c r="G43" s="51">
        <v>1</v>
      </c>
      <c r="H43" s="51"/>
      <c r="I43" s="51"/>
      <c r="J43" s="51"/>
      <c r="K43" s="51"/>
      <c r="L43" s="32">
        <v>69</v>
      </c>
      <c r="N43" s="9">
        <f t="shared" si="0"/>
        <v>11</v>
      </c>
      <c r="O43" s="50">
        <v>58</v>
      </c>
      <c r="P43" s="9">
        <f t="shared" si="1"/>
        <v>69</v>
      </c>
      <c r="Q43" s="5"/>
      <c r="R43" s="14" t="s">
        <v>22</v>
      </c>
      <c r="S43" s="12">
        <f t="shared" si="2"/>
        <v>11</v>
      </c>
      <c r="T43" s="9">
        <f t="shared" si="3"/>
        <v>58</v>
      </c>
      <c r="U43" s="15">
        <f t="shared" si="4"/>
        <v>69</v>
      </c>
    </row>
    <row r="44" spans="1:21" ht="12.75">
      <c r="A44" s="31" t="s">
        <v>23</v>
      </c>
      <c r="B44" s="50">
        <v>56</v>
      </c>
      <c r="C44" s="51">
        <v>13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91</v>
      </c>
      <c r="N44" s="9">
        <f t="shared" si="0"/>
        <v>35</v>
      </c>
      <c r="O44" s="50">
        <v>56</v>
      </c>
      <c r="P44" s="9">
        <f t="shared" si="1"/>
        <v>91</v>
      </c>
      <c r="Q44" s="5"/>
      <c r="R44" s="14" t="s">
        <v>23</v>
      </c>
      <c r="S44" s="12">
        <f t="shared" si="2"/>
        <v>35</v>
      </c>
      <c r="T44" s="9">
        <f t="shared" si="3"/>
        <v>56</v>
      </c>
      <c r="U44" s="15">
        <f t="shared" si="4"/>
        <v>91</v>
      </c>
    </row>
    <row r="45" spans="1:21" ht="12.75">
      <c r="A45" s="31" t="s">
        <v>24</v>
      </c>
      <c r="B45" s="50">
        <v>49</v>
      </c>
      <c r="C45" s="51">
        <v>6</v>
      </c>
      <c r="D45" s="51">
        <v>8</v>
      </c>
      <c r="E45" s="51">
        <v>1</v>
      </c>
      <c r="F45" s="51"/>
      <c r="G45" s="51">
        <v>5</v>
      </c>
      <c r="H45" s="51"/>
      <c r="I45" s="51"/>
      <c r="J45" s="51"/>
      <c r="K45" s="51"/>
      <c r="L45" s="32">
        <v>69</v>
      </c>
      <c r="N45" s="9">
        <f t="shared" si="0"/>
        <v>20</v>
      </c>
      <c r="O45" s="50">
        <v>49</v>
      </c>
      <c r="P45" s="9">
        <f t="shared" si="1"/>
        <v>69</v>
      </c>
      <c r="Q45" s="5"/>
      <c r="R45" s="14" t="s">
        <v>24</v>
      </c>
      <c r="S45" s="12">
        <f t="shared" si="2"/>
        <v>20</v>
      </c>
      <c r="T45" s="9">
        <f t="shared" si="3"/>
        <v>49</v>
      </c>
      <c r="U45" s="15">
        <f t="shared" si="4"/>
        <v>69</v>
      </c>
    </row>
    <row r="46" spans="1:21" ht="12.75">
      <c r="A46" s="31" t="s">
        <v>25</v>
      </c>
      <c r="B46" s="50"/>
      <c r="C46" s="51">
        <v>1</v>
      </c>
      <c r="D46" s="51">
        <v>5</v>
      </c>
      <c r="E46" s="51"/>
      <c r="F46" s="51">
        <v>4</v>
      </c>
      <c r="G46" s="51"/>
      <c r="H46" s="51"/>
      <c r="I46" s="51"/>
      <c r="J46" s="51"/>
      <c r="K46" s="51"/>
      <c r="L46" s="32">
        <v>10</v>
      </c>
      <c r="N46" s="9">
        <f t="shared" si="0"/>
        <v>10</v>
      </c>
      <c r="O46" s="50"/>
      <c r="P46" s="9">
        <f t="shared" si="1"/>
        <v>10</v>
      </c>
      <c r="Q46" s="5"/>
      <c r="R46" s="14" t="s">
        <v>25</v>
      </c>
      <c r="S46" s="12">
        <f t="shared" si="2"/>
        <v>10</v>
      </c>
      <c r="T46" s="9">
        <f t="shared" si="3"/>
        <v>0</v>
      </c>
      <c r="U46" s="15">
        <f t="shared" si="4"/>
        <v>10</v>
      </c>
    </row>
    <row r="47" spans="1:21" ht="12.75">
      <c r="A47" s="31" t="s">
        <v>34</v>
      </c>
      <c r="B47" s="50">
        <v>35</v>
      </c>
      <c r="C47" s="51">
        <v>2</v>
      </c>
      <c r="D47" s="51"/>
      <c r="E47" s="51">
        <v>1</v>
      </c>
      <c r="F47" s="51">
        <v>8</v>
      </c>
      <c r="G47" s="51"/>
      <c r="H47" s="51"/>
      <c r="I47" s="51"/>
      <c r="J47" s="51"/>
      <c r="K47" s="51"/>
      <c r="L47" s="32">
        <v>46</v>
      </c>
      <c r="N47" s="9">
        <f t="shared" si="0"/>
        <v>11</v>
      </c>
      <c r="O47" s="50">
        <v>35</v>
      </c>
      <c r="P47" s="9">
        <f t="shared" si="1"/>
        <v>46</v>
      </c>
      <c r="Q47" s="5"/>
      <c r="R47" s="14" t="s">
        <v>34</v>
      </c>
      <c r="S47" s="12">
        <f t="shared" si="2"/>
        <v>11</v>
      </c>
      <c r="T47" s="9">
        <f t="shared" si="3"/>
        <v>35</v>
      </c>
      <c r="U47" s="15">
        <f t="shared" si="4"/>
        <v>46</v>
      </c>
    </row>
    <row r="48" spans="1:21" ht="12.75">
      <c r="A48" s="31" t="s">
        <v>32</v>
      </c>
      <c r="B48" s="50">
        <v>79</v>
      </c>
      <c r="C48" s="51">
        <v>4</v>
      </c>
      <c r="D48" s="51"/>
      <c r="E48" s="51">
        <v>2</v>
      </c>
      <c r="F48" s="51"/>
      <c r="G48" s="51"/>
      <c r="H48" s="51"/>
      <c r="I48" s="51"/>
      <c r="J48" s="51"/>
      <c r="K48" s="51">
        <v>1</v>
      </c>
      <c r="L48" s="32">
        <v>86</v>
      </c>
      <c r="N48" s="9">
        <f t="shared" si="0"/>
        <v>7</v>
      </c>
      <c r="O48" s="50">
        <v>79</v>
      </c>
      <c r="P48" s="9">
        <f t="shared" si="1"/>
        <v>86</v>
      </c>
      <c r="Q48" s="5"/>
      <c r="R48" s="14" t="s">
        <v>32</v>
      </c>
      <c r="S48" s="12">
        <f t="shared" si="2"/>
        <v>7</v>
      </c>
      <c r="T48" s="9">
        <f t="shared" si="3"/>
        <v>79</v>
      </c>
      <c r="U48" s="15">
        <f t="shared" si="4"/>
        <v>86</v>
      </c>
    </row>
    <row r="49" spans="1:21" ht="12.75">
      <c r="A49" s="31" t="s">
        <v>8</v>
      </c>
      <c r="B49" s="50">
        <v>182</v>
      </c>
      <c r="C49" s="51">
        <v>23</v>
      </c>
      <c r="D49" s="51">
        <v>22</v>
      </c>
      <c r="E49" s="51">
        <v>8</v>
      </c>
      <c r="F49" s="51">
        <v>1</v>
      </c>
      <c r="G49" s="51">
        <v>1</v>
      </c>
      <c r="H49" s="51"/>
      <c r="I49" s="51">
        <v>2</v>
      </c>
      <c r="J49" s="51"/>
      <c r="K49" s="51"/>
      <c r="L49" s="32">
        <v>239</v>
      </c>
      <c r="N49" s="9">
        <f t="shared" si="0"/>
        <v>57</v>
      </c>
      <c r="O49" s="50">
        <v>182</v>
      </c>
      <c r="P49" s="9">
        <f t="shared" si="1"/>
        <v>239</v>
      </c>
      <c r="Q49" s="5"/>
      <c r="R49" s="14" t="s">
        <v>8</v>
      </c>
      <c r="S49" s="12">
        <f t="shared" si="2"/>
        <v>57</v>
      </c>
      <c r="T49" s="9">
        <f t="shared" si="3"/>
        <v>182</v>
      </c>
      <c r="U49" s="15">
        <f t="shared" si="4"/>
        <v>239</v>
      </c>
    </row>
    <row r="50" spans="1:21" ht="12.75">
      <c r="A50" s="31" t="s">
        <v>26</v>
      </c>
      <c r="B50" s="50">
        <v>15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28</v>
      </c>
      <c r="N50" s="9">
        <f t="shared" si="0"/>
        <v>13</v>
      </c>
      <c r="O50" s="50">
        <v>15</v>
      </c>
      <c r="P50" s="9">
        <f t="shared" si="1"/>
        <v>28</v>
      </c>
      <c r="Q50" s="5"/>
      <c r="R50" s="14" t="s">
        <v>26</v>
      </c>
      <c r="S50" s="12">
        <f t="shared" si="2"/>
        <v>13</v>
      </c>
      <c r="T50" s="9">
        <f t="shared" si="3"/>
        <v>15</v>
      </c>
      <c r="U50" s="15">
        <f t="shared" si="4"/>
        <v>28</v>
      </c>
    </row>
    <row r="51" spans="1:21" ht="12.75">
      <c r="A51" s="31" t="s">
        <v>33</v>
      </c>
      <c r="B51" s="50">
        <v>121</v>
      </c>
      <c r="C51" s="51">
        <v>17</v>
      </c>
      <c r="D51" s="51"/>
      <c r="E51" s="51">
        <v>17</v>
      </c>
      <c r="F51" s="51"/>
      <c r="G51" s="51"/>
      <c r="H51" s="51"/>
      <c r="I51" s="51"/>
      <c r="J51" s="51"/>
      <c r="K51" s="51">
        <v>1</v>
      </c>
      <c r="L51" s="32">
        <v>156</v>
      </c>
      <c r="N51" s="9">
        <f t="shared" si="0"/>
        <v>35</v>
      </c>
      <c r="O51" s="50">
        <v>121</v>
      </c>
      <c r="P51" s="9">
        <f t="shared" si="1"/>
        <v>156</v>
      </c>
      <c r="Q51" s="5"/>
      <c r="R51" s="14" t="s">
        <v>33</v>
      </c>
      <c r="S51" s="12">
        <f t="shared" si="2"/>
        <v>35</v>
      </c>
      <c r="T51" s="9">
        <f t="shared" si="3"/>
        <v>121</v>
      </c>
      <c r="U51" s="15">
        <f t="shared" si="4"/>
        <v>156</v>
      </c>
    </row>
    <row r="52" spans="1:21" ht="12.75">
      <c r="A52" s="31" t="s">
        <v>9</v>
      </c>
      <c r="B52" s="50">
        <v>402</v>
      </c>
      <c r="C52" s="51">
        <v>21</v>
      </c>
      <c r="D52" s="51">
        <v>5</v>
      </c>
      <c r="E52" s="51">
        <v>11</v>
      </c>
      <c r="F52" s="51">
        <v>1</v>
      </c>
      <c r="G52" s="51">
        <v>3</v>
      </c>
      <c r="H52" s="51">
        <v>2</v>
      </c>
      <c r="I52" s="51"/>
      <c r="J52" s="51"/>
      <c r="K52" s="51">
        <v>2</v>
      </c>
      <c r="L52" s="32">
        <v>447</v>
      </c>
      <c r="N52" s="9">
        <f t="shared" si="0"/>
        <v>45</v>
      </c>
      <c r="O52" s="50">
        <v>402</v>
      </c>
      <c r="P52" s="16">
        <f t="shared" si="1"/>
        <v>447</v>
      </c>
      <c r="Q52" s="5"/>
      <c r="R52" s="17" t="s">
        <v>9</v>
      </c>
      <c r="S52" s="12">
        <f t="shared" si="2"/>
        <v>45</v>
      </c>
      <c r="T52" s="16">
        <f t="shared" si="3"/>
        <v>402</v>
      </c>
      <c r="U52" s="18">
        <f t="shared" si="4"/>
        <v>447</v>
      </c>
    </row>
    <row r="53" spans="1:21" ht="12.75">
      <c r="A53" s="54" t="s">
        <v>44</v>
      </c>
      <c r="B53" s="52">
        <v>3983</v>
      </c>
      <c r="C53" s="53">
        <v>326</v>
      </c>
      <c r="D53" s="53">
        <v>228</v>
      </c>
      <c r="E53" s="53">
        <v>100</v>
      </c>
      <c r="F53" s="53">
        <v>38</v>
      </c>
      <c r="G53" s="53">
        <v>99</v>
      </c>
      <c r="H53" s="53">
        <v>17</v>
      </c>
      <c r="I53" s="53">
        <v>20</v>
      </c>
      <c r="J53" s="53">
        <v>4</v>
      </c>
      <c r="K53" s="53">
        <v>65</v>
      </c>
      <c r="L53" s="28">
        <v>4880</v>
      </c>
      <c r="N53" s="19">
        <f>SUM(N22:N52)</f>
        <v>897</v>
      </c>
      <c r="O53" s="52">
        <f>SUM(O22:O52)</f>
        <v>3983</v>
      </c>
      <c r="P53" s="20">
        <f>SUM(P22:P52)</f>
        <v>4880</v>
      </c>
      <c r="Q53" s="5"/>
      <c r="R53" s="21" t="s">
        <v>44</v>
      </c>
      <c r="S53" s="22">
        <f>SUM(S22:S52)</f>
        <v>897</v>
      </c>
      <c r="T53" s="23">
        <f>SUM(T22:T52)</f>
        <v>3983</v>
      </c>
      <c r="U53" s="22">
        <f>SUM(U22:U52)</f>
        <v>4880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1558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51">
      <c r="A61" s="31" t="s">
        <v>12</v>
      </c>
      <c r="B61" s="32">
        <v>774</v>
      </c>
      <c r="D61" s="14" t="s">
        <v>38</v>
      </c>
      <c r="E61" s="9">
        <f>GETPIVOTDATA("No. CNB",$A$58,"Departamento","Archipiélago de San Andrés, Providencia y Santa Catalina")</f>
        <v>6</v>
      </c>
      <c r="F61" s="33"/>
      <c r="G61" s="39" t="str">
        <f aca="true" t="shared" si="5" ref="G61:G90">D61&amp;" - "&amp;E61&amp;"  CNBS "</f>
        <v>Archipiélago de San Andrés, Providencia y Santa Catalina - 6  CNBS </v>
      </c>
      <c r="H61" s="24"/>
      <c r="I61" s="14" t="s">
        <v>38</v>
      </c>
      <c r="J61" s="9">
        <f>GETPIVOTDATA("No. CNB",$A$58,"Departamento","Archipiélago de San Andrés, Providencia y Santa Catalina")</f>
        <v>6</v>
      </c>
      <c r="M61" s="24"/>
    </row>
    <row r="62" spans="1:13" ht="12.75">
      <c r="A62" s="31" t="s">
        <v>9</v>
      </c>
      <c r="B62" s="32">
        <v>447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292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298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25.5">
      <c r="A65" s="31" t="s">
        <v>8</v>
      </c>
      <c r="B65" s="32">
        <v>239</v>
      </c>
      <c r="D65" s="14" t="s">
        <v>25</v>
      </c>
      <c r="E65" s="9">
        <f>GETPIVOTDATA("No. CNB",$A$58,"Departamento","Putumayo")</f>
        <v>10</v>
      </c>
      <c r="F65" s="33"/>
      <c r="G65" s="39" t="str">
        <f t="shared" si="5"/>
        <v>Putumayo - 10  CNBS </v>
      </c>
      <c r="H65" s="24"/>
      <c r="I65" s="14" t="s">
        <v>25</v>
      </c>
      <c r="J65" s="9">
        <f>GETPIVOTDATA("No. CNB",$A$58,"Departamento","Putumayo")</f>
        <v>10</v>
      </c>
      <c r="M65" s="24"/>
    </row>
    <row r="66" spans="1:13" ht="12.75">
      <c r="A66" s="31" t="s">
        <v>5</v>
      </c>
      <c r="B66" s="32">
        <v>149</v>
      </c>
      <c r="D66" s="14" t="s">
        <v>17</v>
      </c>
      <c r="E66" s="9">
        <f>GETPIVOTDATA("No. CNB",$A$58,"Departamento","Chocó")</f>
        <v>23</v>
      </c>
      <c r="F66" s="33"/>
      <c r="G66" s="39" t="str">
        <f t="shared" si="5"/>
        <v>Chocó - 23  CNBS </v>
      </c>
      <c r="H66" s="24"/>
      <c r="I66" s="14" t="s">
        <v>14</v>
      </c>
      <c r="J66" s="9">
        <f>GETPIVOTDATA("No. CNB",$A$58,"Departamento","Caquetá")</f>
        <v>14</v>
      </c>
      <c r="M66" s="24"/>
    </row>
    <row r="67" spans="1:13" ht="12.75">
      <c r="A67" s="31" t="s">
        <v>33</v>
      </c>
      <c r="B67" s="32">
        <v>156</v>
      </c>
      <c r="D67" s="14" t="s">
        <v>14</v>
      </c>
      <c r="E67" s="9">
        <f>GETPIVOTDATA("No. CNB",$A$58,"Departamento","Caquetá")</f>
        <v>14</v>
      </c>
      <c r="F67" s="33"/>
      <c r="G67" s="39" t="str">
        <f t="shared" si="5"/>
        <v>Caquetá - 14  CNBS </v>
      </c>
      <c r="H67" s="24"/>
      <c r="I67" s="14" t="s">
        <v>20</v>
      </c>
      <c r="J67" s="9">
        <f>GETPIVOTDATA("No. CNB",$A$58,"Departamento","La Guajira")</f>
        <v>15</v>
      </c>
      <c r="M67" s="24"/>
    </row>
    <row r="68" spans="1:13" ht="25.5">
      <c r="A68" s="31" t="s">
        <v>23</v>
      </c>
      <c r="B68" s="32">
        <v>91</v>
      </c>
      <c r="D68" s="14" t="s">
        <v>20</v>
      </c>
      <c r="E68" s="9">
        <f>GETPIVOTDATA("No. CNB",$A$58,"Departamento","La Guajira")</f>
        <v>15</v>
      </c>
      <c r="F68" s="33"/>
      <c r="G68" s="39" t="str">
        <f t="shared" si="5"/>
        <v>La Guajira - 15  CNBS </v>
      </c>
      <c r="H68" s="24"/>
      <c r="I68" s="14" t="s">
        <v>17</v>
      </c>
      <c r="J68" s="9">
        <f>GETPIVOTDATA("No. CNB",$A$58,"Departamento","Chocó")</f>
        <v>23</v>
      </c>
      <c r="M68" s="24"/>
    </row>
    <row r="69" spans="1:13" ht="25.5">
      <c r="A69" s="31" t="s">
        <v>13</v>
      </c>
      <c r="B69" s="32">
        <v>108</v>
      </c>
      <c r="D69" s="14" t="s">
        <v>39</v>
      </c>
      <c r="E69" s="9">
        <f>GETPIVOTDATA("No. CNB",$A$58,"Departamento","Casanare")</f>
        <v>28</v>
      </c>
      <c r="F69" s="33"/>
      <c r="G69" s="39" t="str">
        <f t="shared" si="5"/>
        <v>Casanare - 28  CNBS </v>
      </c>
      <c r="H69" s="24"/>
      <c r="I69" s="14" t="s">
        <v>39</v>
      </c>
      <c r="J69" s="9">
        <f>GETPIVOTDATA("No. CNB",$A$58,"Departamento","Casanare")</f>
        <v>28</v>
      </c>
      <c r="M69" s="24"/>
    </row>
    <row r="70" spans="1:13" ht="12.75">
      <c r="A70" s="31" t="s">
        <v>32</v>
      </c>
      <c r="B70" s="32">
        <v>86</v>
      </c>
      <c r="D70" s="14" t="s">
        <v>26</v>
      </c>
      <c r="E70" s="9">
        <f>GETPIVOTDATA("No. CNB",$A$58,"Departamento","Sucre")</f>
        <v>28</v>
      </c>
      <c r="F70" s="33"/>
      <c r="G70" s="39" t="str">
        <f t="shared" si="5"/>
        <v>Sucre - 28  CNBS </v>
      </c>
      <c r="H70" s="24"/>
      <c r="I70" s="14" t="s">
        <v>26</v>
      </c>
      <c r="J70" s="9">
        <f>GETPIVOTDATA("No. CNB",$A$58,"Departamento","Sucre")</f>
        <v>28</v>
      </c>
      <c r="M70" s="24"/>
    </row>
    <row r="71" spans="1:13" ht="12.75">
      <c r="A71" s="31" t="s">
        <v>31</v>
      </c>
      <c r="B71" s="32">
        <v>68</v>
      </c>
      <c r="D71" s="14" t="s">
        <v>15</v>
      </c>
      <c r="E71" s="9">
        <f>GETPIVOTDATA("No. CNB",$A$58,"Departamento","Cauca")</f>
        <v>40</v>
      </c>
      <c r="F71" s="33"/>
      <c r="G71" s="39" t="str">
        <f t="shared" si="5"/>
        <v>Cauca - 40  CNBS </v>
      </c>
      <c r="H71" s="24"/>
      <c r="I71" s="14" t="s">
        <v>15</v>
      </c>
      <c r="J71" s="9">
        <f>GETPIVOTDATA("No. CNB",$A$58,"Departamento","Cauca")</f>
        <v>40</v>
      </c>
      <c r="M71" s="24"/>
    </row>
    <row r="72" spans="1:13" ht="12.75">
      <c r="A72" s="31" t="s">
        <v>6</v>
      </c>
      <c r="B72" s="32">
        <v>73</v>
      </c>
      <c r="D72" s="14" t="s">
        <v>16</v>
      </c>
      <c r="E72" s="9">
        <f>GETPIVOTDATA("No. CNB",$A$58,"Departamento","Cesar")</f>
        <v>48</v>
      </c>
      <c r="F72" s="33"/>
      <c r="G72" s="39" t="str">
        <f t="shared" si="5"/>
        <v>Cesar - 48  CNBS </v>
      </c>
      <c r="H72" s="24"/>
      <c r="I72" s="14" t="s">
        <v>34</v>
      </c>
      <c r="J72" s="9">
        <f>GETPIVOTDATA("No. CNB",$A$58,"Departamento","Quindío")</f>
        <v>46</v>
      </c>
      <c r="M72" s="24"/>
    </row>
    <row r="73" spans="1:13" ht="12.75">
      <c r="A73" s="31" t="s">
        <v>22</v>
      </c>
      <c r="B73" s="32">
        <v>69</v>
      </c>
      <c r="D73" s="14" t="s">
        <v>34</v>
      </c>
      <c r="E73" s="9">
        <f>GETPIVOTDATA("No. CNB",$A$58,"Departamento","Quindío")</f>
        <v>46</v>
      </c>
      <c r="F73" s="33"/>
      <c r="G73" s="39" t="str">
        <f t="shared" si="5"/>
        <v>Quindío - 46  CNBS </v>
      </c>
      <c r="H73" s="24"/>
      <c r="I73" s="14" t="s">
        <v>16</v>
      </c>
      <c r="J73" s="9">
        <f>GETPIVOTDATA("No. CNB",$A$58,"Departamento","Cesar")</f>
        <v>48</v>
      </c>
      <c r="M73" s="24"/>
    </row>
    <row r="74" spans="1:13" ht="12.75">
      <c r="A74" s="31" t="s">
        <v>24</v>
      </c>
      <c r="B74" s="32">
        <v>69</v>
      </c>
      <c r="D74" s="14" t="s">
        <v>18</v>
      </c>
      <c r="E74" s="9">
        <f>GETPIVOTDATA("No. CNB",$A$58,"Departamento","Córdoba")</f>
        <v>54</v>
      </c>
      <c r="F74" s="33"/>
      <c r="G74" s="39" t="str">
        <f t="shared" si="5"/>
        <v>Córdoba - 54  CNBS </v>
      </c>
      <c r="H74" s="24"/>
      <c r="I74" s="14" t="s">
        <v>18</v>
      </c>
      <c r="J74" s="9">
        <f>GETPIVOTDATA("No. CNB",$A$58,"Departamento","Córdoba")</f>
        <v>54</v>
      </c>
      <c r="M74" s="24"/>
    </row>
    <row r="75" spans="1:10" ht="25.5">
      <c r="A75" s="31" t="s">
        <v>21</v>
      </c>
      <c r="B75" s="32">
        <v>73</v>
      </c>
      <c r="D75" s="14" t="s">
        <v>21</v>
      </c>
      <c r="E75" s="9">
        <f>GETPIVOTDATA("No. CNB",$A$58,"Departamento","Magdalena")</f>
        <v>73</v>
      </c>
      <c r="F75" s="33"/>
      <c r="G75" s="39" t="str">
        <f t="shared" si="5"/>
        <v>Magdalena - 73  CNBS </v>
      </c>
      <c r="H75" s="24"/>
      <c r="I75" s="14" t="s">
        <v>24</v>
      </c>
      <c r="J75" s="9">
        <f>GETPIVOTDATA("No. CNB",$A$58,"Departamento","Norte de Santander")</f>
        <v>69</v>
      </c>
    </row>
    <row r="76" spans="1:10" ht="25.5">
      <c r="A76" s="31" t="s">
        <v>18</v>
      </c>
      <c r="B76" s="32">
        <v>54</v>
      </c>
      <c r="D76" s="14" t="s">
        <v>24</v>
      </c>
      <c r="E76" s="9">
        <f>GETPIVOTDATA("No. CNB",$A$58,"Departamento","Norte de Santander")</f>
        <v>69</v>
      </c>
      <c r="F76" s="33"/>
      <c r="G76" s="39" t="str">
        <f t="shared" si="5"/>
        <v>Norte de Santander - 69  CNBS </v>
      </c>
      <c r="H76" s="24"/>
      <c r="I76" s="14" t="s">
        <v>22</v>
      </c>
      <c r="J76" s="9">
        <f>GETPIVOTDATA("No. CNB",$A$58,"Departamento","Meta")</f>
        <v>69</v>
      </c>
    </row>
    <row r="77" spans="1:10" ht="12.75">
      <c r="A77" s="31" t="s">
        <v>34</v>
      </c>
      <c r="B77" s="32">
        <v>46</v>
      </c>
      <c r="D77" s="14" t="s">
        <v>6</v>
      </c>
      <c r="E77" s="9">
        <f>GETPIVOTDATA("No. CNB",$A$58,"Departamento","Caldas")</f>
        <v>73</v>
      </c>
      <c r="F77" s="33"/>
      <c r="G77" s="39" t="str">
        <f t="shared" si="5"/>
        <v>Caldas - 73  CNBS </v>
      </c>
      <c r="H77" s="24"/>
      <c r="I77" s="14" t="s">
        <v>31</v>
      </c>
      <c r="J77" s="9">
        <f>GETPIVOTDATA("No. CNB",$A$58,"Departamento","Huila")</f>
        <v>68</v>
      </c>
    </row>
    <row r="78" spans="1:10" ht="12.75">
      <c r="A78" s="31" t="s">
        <v>16</v>
      </c>
      <c r="B78" s="32">
        <v>48</v>
      </c>
      <c r="D78" s="14" t="s">
        <v>22</v>
      </c>
      <c r="E78" s="9">
        <f>GETPIVOTDATA("No. CNB",$A$58,"Departamento","Meta")</f>
        <v>69</v>
      </c>
      <c r="F78" s="33"/>
      <c r="G78" s="39" t="str">
        <f t="shared" si="5"/>
        <v>Meta - 69  CNBS </v>
      </c>
      <c r="H78" s="24"/>
      <c r="I78" s="14" t="s">
        <v>6</v>
      </c>
      <c r="J78" s="9">
        <f>GETPIVOTDATA("No. CNB",$A$58,"Departamento","Caldas")</f>
        <v>73</v>
      </c>
    </row>
    <row r="79" spans="1:10" ht="12.75">
      <c r="A79" s="31" t="s">
        <v>15</v>
      </c>
      <c r="B79" s="32">
        <v>40</v>
      </c>
      <c r="D79" s="14" t="s">
        <v>31</v>
      </c>
      <c r="E79" s="9">
        <f>GETPIVOTDATA("No. CNB",$A$58,"Departamento","Huila")</f>
        <v>68</v>
      </c>
      <c r="F79" s="33"/>
      <c r="G79" s="39" t="str">
        <f t="shared" si="5"/>
        <v>Huila - 68  CNBS </v>
      </c>
      <c r="H79" s="24"/>
      <c r="I79" s="14" t="s">
        <v>21</v>
      </c>
      <c r="J79" s="9">
        <f>GETPIVOTDATA("No. CNB",$A$58,"Departamento","Magdalena")</f>
        <v>73</v>
      </c>
    </row>
    <row r="80" spans="1:10" ht="25.5">
      <c r="A80" s="31" t="s">
        <v>26</v>
      </c>
      <c r="B80" s="32">
        <v>28</v>
      </c>
      <c r="D80" s="14" t="s">
        <v>32</v>
      </c>
      <c r="E80" s="9">
        <f>GETPIVOTDATA("No. CNB",$A$58,"Departamento","Risaralda")</f>
        <v>86</v>
      </c>
      <c r="F80" s="33"/>
      <c r="G80" s="39" t="str">
        <f t="shared" si="5"/>
        <v>Risaralda - 86  CNBS </v>
      </c>
      <c r="H80" s="24"/>
      <c r="I80" s="14" t="s">
        <v>32</v>
      </c>
      <c r="J80" s="9">
        <f>GETPIVOTDATA("No. CNB",$A$58,"Departamento","Risaralda")</f>
        <v>86</v>
      </c>
    </row>
    <row r="81" spans="1:10" ht="12.75">
      <c r="A81" s="31" t="s">
        <v>39</v>
      </c>
      <c r="B81" s="32">
        <v>28</v>
      </c>
      <c r="D81" s="14" t="s">
        <v>13</v>
      </c>
      <c r="E81" s="9">
        <f>GETPIVOTDATA("No. CNB",$A$58,"Departamento","Bolívar")</f>
        <v>108</v>
      </c>
      <c r="F81" s="33"/>
      <c r="G81" s="39" t="str">
        <f>D81&amp;" - "&amp;E81&amp;"  CNBS "</f>
        <v>Bolívar - 108  CNBS </v>
      </c>
      <c r="H81" s="24"/>
      <c r="I81" s="14" t="s">
        <v>23</v>
      </c>
      <c r="J81" s="9">
        <f>GETPIVOTDATA("No. CNB",$A$58,"Departamento","Nariño")</f>
        <v>91</v>
      </c>
    </row>
    <row r="82" spans="1:10" ht="12.75">
      <c r="A82" s="31" t="s">
        <v>20</v>
      </c>
      <c r="B82" s="32">
        <v>15</v>
      </c>
      <c r="D82" s="14" t="s">
        <v>23</v>
      </c>
      <c r="E82" s="9">
        <f>GETPIVOTDATA("No. CNB",$A$58,"Departamento","Nariño")</f>
        <v>91</v>
      </c>
      <c r="F82" s="33"/>
      <c r="G82" s="39" t="str">
        <f t="shared" si="5"/>
        <v>Nariño - 91  CNBS </v>
      </c>
      <c r="H82" s="24"/>
      <c r="I82" s="14" t="s">
        <v>13</v>
      </c>
      <c r="J82" s="9">
        <f>GETPIVOTDATA("No. CNB",$A$58,"Departamento","Bolívar")</f>
        <v>108</v>
      </c>
    </row>
    <row r="83" spans="1:10" ht="12.75">
      <c r="A83" s="31" t="s">
        <v>14</v>
      </c>
      <c r="B83" s="32">
        <v>14</v>
      </c>
      <c r="D83" s="14" t="s">
        <v>33</v>
      </c>
      <c r="E83" s="9">
        <f>GETPIVOTDATA("No. CNB",$A$58,"Departamento","Tolima")</f>
        <v>156</v>
      </c>
      <c r="F83" s="33"/>
      <c r="G83" s="39" t="str">
        <f t="shared" si="5"/>
        <v>Tolima - 156  CNBS </v>
      </c>
      <c r="H83" s="24"/>
      <c r="I83" s="14" t="s">
        <v>5</v>
      </c>
      <c r="J83" s="9">
        <f>GETPIVOTDATA("No. CNB",$A$58,"Departamento","Boyacá")</f>
        <v>149</v>
      </c>
    </row>
    <row r="84" spans="1:10" ht="12.75">
      <c r="A84" s="31" t="s">
        <v>17</v>
      </c>
      <c r="B84" s="32">
        <v>23</v>
      </c>
      <c r="D84" s="14" t="s">
        <v>5</v>
      </c>
      <c r="E84" s="9">
        <f>GETPIVOTDATA("No. CNB",$A$58,"Departamento","Boyacá")</f>
        <v>149</v>
      </c>
      <c r="F84" s="33"/>
      <c r="G84" s="39" t="str">
        <f t="shared" si="5"/>
        <v>Boyacá - 149  CNBS </v>
      </c>
      <c r="H84" s="24"/>
      <c r="I84" s="14" t="s">
        <v>33</v>
      </c>
      <c r="J84" s="9">
        <f>GETPIVOTDATA("No. CNB",$A$58,"Departamento","Tolima")</f>
        <v>156</v>
      </c>
    </row>
    <row r="85" spans="1:10" ht="25.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239</v>
      </c>
      <c r="F85" s="33"/>
      <c r="G85" s="39" t="str">
        <f t="shared" si="5"/>
        <v>Santander - 239  CNBS </v>
      </c>
      <c r="H85" s="24"/>
      <c r="I85" s="14" t="s">
        <v>8</v>
      </c>
      <c r="J85" s="9">
        <f>GETPIVOTDATA("No. CNB",$A$58,"Departamento","Santander")</f>
        <v>239</v>
      </c>
    </row>
    <row r="86" spans="1:10" ht="25.5">
      <c r="A86" s="31" t="s">
        <v>25</v>
      </c>
      <c r="B86" s="32">
        <v>10</v>
      </c>
      <c r="D86" s="14" t="s">
        <v>2</v>
      </c>
      <c r="E86" s="9">
        <f>GETPIVOTDATA("No. CNB",$A$58,"Departamento","Atlántico")</f>
        <v>298</v>
      </c>
      <c r="F86" s="33"/>
      <c r="G86" s="39" t="str">
        <f t="shared" si="5"/>
        <v>Atlántico - 298  CNBS </v>
      </c>
      <c r="H86" s="24"/>
      <c r="I86" s="14" t="s">
        <v>2</v>
      </c>
      <c r="J86" s="9">
        <f>GETPIVOTDATA("No. CNB",$A$58,"Departamento","Atlántico")</f>
        <v>298</v>
      </c>
    </row>
    <row r="87" spans="1:10" ht="25.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292</v>
      </c>
      <c r="F87" s="33"/>
      <c r="G87" s="39" t="str">
        <f t="shared" si="5"/>
        <v>Cundinamarca - 292  CNBS </v>
      </c>
      <c r="H87" s="24"/>
      <c r="I87" s="14" t="s">
        <v>7</v>
      </c>
      <c r="J87" s="9">
        <f>GETPIVOTDATA("No. CNB",$A$58,"Departamento","Cundinamarca")</f>
        <v>292</v>
      </c>
    </row>
    <row r="88" spans="1:10" ht="25.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447</v>
      </c>
      <c r="F88" s="33"/>
      <c r="G88" s="39" t="str">
        <f t="shared" si="5"/>
        <v>Valle del Cauca - 447  CNBS </v>
      </c>
      <c r="H88" s="24"/>
      <c r="I88" s="14" t="s">
        <v>9</v>
      </c>
      <c r="J88" s="9">
        <f>GETPIVOTDATA("No. CNB",$A$58,"Departamento","Valle del Cauca")</f>
        <v>447</v>
      </c>
    </row>
    <row r="89" spans="1:10" ht="25.5">
      <c r="A89" s="31" t="s">
        <v>38</v>
      </c>
      <c r="B89" s="32">
        <v>6</v>
      </c>
      <c r="D89" s="14" t="s">
        <v>12</v>
      </c>
      <c r="E89" s="9">
        <f>GETPIVOTDATA("No. CNB",$A$58,"Departamento","Antioquia")</f>
        <v>774</v>
      </c>
      <c r="F89" s="33"/>
      <c r="G89" s="39" t="str">
        <f t="shared" si="5"/>
        <v>Antioquia - 774  CNBS </v>
      </c>
      <c r="H89" s="24"/>
      <c r="I89" s="14" t="s">
        <v>12</v>
      </c>
      <c r="J89" s="9">
        <f>GETPIVOTDATA("No. CNB",$A$58,"Departamento","Antioquia")</f>
        <v>774</v>
      </c>
    </row>
    <row r="90" spans="1:10" ht="25.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1558</v>
      </c>
      <c r="F90" s="33"/>
      <c r="G90" s="40" t="str">
        <f t="shared" si="5"/>
        <v>Bogotá, D.C. - 1558  CNBS </v>
      </c>
      <c r="H90" s="24"/>
      <c r="I90" s="17" t="s">
        <v>4</v>
      </c>
      <c r="J90" s="9">
        <f>GETPIVOTDATA("No. CNB",$A$58,"Departamento","Bogotá, D.C.")</f>
        <v>1558</v>
      </c>
    </row>
    <row r="91" spans="1:10" ht="12.75">
      <c r="A91" s="27" t="s">
        <v>44</v>
      </c>
      <c r="B91" s="28">
        <v>4880</v>
      </c>
      <c r="D91" s="37" t="s">
        <v>44</v>
      </c>
      <c r="E91" s="22">
        <f>SUM(E60:E90)</f>
        <v>4880</v>
      </c>
      <c r="F91" s="34"/>
      <c r="G91" s="41" t="s">
        <v>49</v>
      </c>
      <c r="H91" s="24"/>
      <c r="I91" s="37" t="s">
        <v>44</v>
      </c>
      <c r="J91" s="22">
        <f>SUM(J60:J90)</f>
        <v>4880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2009-01-30T16:04:22Z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